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p.banku\Desktop\"/>
    </mc:Choice>
  </mc:AlternateContent>
  <xr:revisionPtr revIDLastSave="0" documentId="13_ncr:1_{C3098BAA-5D0B-46FD-B49D-69FE9AF3C9C3}" xr6:coauthVersionLast="47" xr6:coauthVersionMax="47" xr10:uidLastSave="{00000000-0000-0000-0000-000000000000}"/>
  <bookViews>
    <workbookView xWindow="6525" yWindow="150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Лист1!$C$1:$G$107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7" i="1"/>
  <c r="F25" i="1"/>
  <c r="F26" i="1"/>
  <c r="F103" i="1"/>
  <c r="F102" i="1"/>
  <c r="F101" i="1"/>
  <c r="F100" i="1"/>
  <c r="F97" i="1"/>
  <c r="F99" i="1" s="1"/>
  <c r="F91" i="1"/>
  <c r="F88" i="1"/>
  <c r="F84" i="1"/>
  <c r="F82" i="1"/>
  <c r="F73" i="1"/>
  <c r="F71" i="1"/>
  <c r="F59" i="1"/>
  <c r="F57" i="1"/>
  <c r="F58" i="1" s="1"/>
  <c r="F56" i="1"/>
  <c r="F98" i="1" l="1"/>
  <c r="F52" i="1" l="1"/>
  <c r="F51" i="1" s="1"/>
  <c r="F43" i="1" l="1"/>
  <c r="F42" i="1"/>
  <c r="F33" i="1" l="1"/>
  <c r="F44" i="1" s="1"/>
  <c r="F30" i="1" l="1"/>
  <c r="F29" i="1"/>
  <c r="F22" i="1" l="1"/>
  <c r="H86" i="1" l="1"/>
  <c r="H87" i="1" s="1"/>
  <c r="F87" i="1"/>
  <c r="F85" i="1"/>
  <c r="K83" i="1" l="1"/>
  <c r="I70" i="1"/>
  <c r="H70" i="1"/>
  <c r="F63" i="1"/>
  <c r="F55" i="1"/>
  <c r="F93" i="1" l="1"/>
  <c r="F94" i="1" s="1"/>
  <c r="F92" i="1"/>
  <c r="I24" i="1" l="1"/>
  <c r="L9" i="1"/>
  <c r="I22" i="1" l="1"/>
  <c r="F23" i="1" l="1"/>
</calcChain>
</file>

<file path=xl/sharedStrings.xml><?xml version="1.0" encoding="utf-8"?>
<sst xmlns="http://schemas.openxmlformats.org/spreadsheetml/2006/main" count="291" uniqueCount="179">
  <si>
    <t>Примечание</t>
  </si>
  <si>
    <t>ДЕФЕКТНАЯ ВЕДОМОСТЬ</t>
  </si>
  <si>
    <t>АО "Салехардэнерго"</t>
  </si>
  <si>
    <t>м</t>
  </si>
  <si>
    <t>шт</t>
  </si>
  <si>
    <t xml:space="preserve"> </t>
  </si>
  <si>
    <t>тн</t>
  </si>
  <si>
    <t>Разработка грунта механизированным способом</t>
  </si>
  <si>
    <t>куб.м</t>
  </si>
  <si>
    <t>кв.м</t>
  </si>
  <si>
    <t>Доработка грунта вручную</t>
  </si>
  <si>
    <t>шт.</t>
  </si>
  <si>
    <t>В1</t>
  </si>
  <si>
    <t>Наименование и виды работ</t>
  </si>
  <si>
    <t>Ед. изм.</t>
  </si>
  <si>
    <t>Кол-во</t>
  </si>
  <si>
    <t>11</t>
  </si>
  <si>
    <t>12</t>
  </si>
  <si>
    <t>25</t>
  </si>
  <si>
    <t>Т1, Т2</t>
  </si>
  <si>
    <t>7</t>
  </si>
  <si>
    <t>Начальник ОППР</t>
  </si>
  <si>
    <r>
      <t>Вид ремонта:</t>
    </r>
    <r>
      <rPr>
        <sz val="12"/>
        <rFont val="Times New Roman"/>
        <family val="1"/>
        <charset val="204"/>
      </rPr>
      <t xml:space="preserve"> Капитальный ремонт.</t>
    </r>
  </si>
  <si>
    <t>пог. м</t>
  </si>
  <si>
    <t>____________ К.В. Петров</t>
  </si>
  <si>
    <t>____________ П.В. Патока</t>
  </si>
  <si>
    <t>пог.м</t>
  </si>
  <si>
    <t>кг</t>
  </si>
  <si>
    <t>Раздел 1. Земляные работы:</t>
  </si>
  <si>
    <t>Раздел 2. Демонтажные работы:</t>
  </si>
  <si>
    <t>Раздел 3. Монтажные работы:</t>
  </si>
  <si>
    <t>Директор СП "Инженерные сети"</t>
  </si>
  <si>
    <r>
      <rPr>
        <b/>
        <sz val="12"/>
        <rFont val="Times New Roman"/>
        <family val="1"/>
        <charset val="204"/>
      </rPr>
      <t xml:space="preserve">Утверждаю </t>
    </r>
    <r>
      <rPr>
        <sz val="12"/>
        <rFont val="Times New Roman"/>
        <family val="1"/>
        <charset val="204"/>
      </rPr>
      <t xml:space="preserve">                                     </t>
    </r>
  </si>
  <si>
    <t>Демонтаж теплоизоляционного слоя трубопроводов Т1, Т2 и В1 (толщина слоя - 0.05 м)</t>
  </si>
  <si>
    <t>Погрузка и перевозка демонтированных труб на расстояние до 3 км</t>
  </si>
  <si>
    <t>Погрузка и перевозка строительного мусора на расстояние до 12 км</t>
  </si>
  <si>
    <t>9</t>
  </si>
  <si>
    <t>10</t>
  </si>
  <si>
    <t>на полигон для утилизации</t>
  </si>
  <si>
    <t>на склад АО "Салехардэнерго"</t>
  </si>
  <si>
    <t>Подземная прокладка трубопроводов водоснабжения</t>
  </si>
  <si>
    <t>Установка запорной арматуры на трубопроводах сетей теплоснабжения</t>
  </si>
  <si>
    <t>Установка запорной арматуры на трубопроводах сетей водоснабжения</t>
  </si>
  <si>
    <t xml:space="preserve">Демонтаж траверс </t>
  </si>
  <si>
    <t>Швеллер №12</t>
  </si>
  <si>
    <t>Мастика битумная</t>
  </si>
  <si>
    <t>Обертывание пленкой ПВХ трубопроводов сети тепло, - водоснабжения</t>
  </si>
  <si>
    <t>Инженер ОППР</t>
  </si>
  <si>
    <t>П.Ф. Банку</t>
  </si>
  <si>
    <t xml:space="preserve">под обратный монтаж; </t>
  </si>
  <si>
    <t>удельный вес - 35кг / куб.м, протяженность участка - 220 м</t>
  </si>
  <si>
    <t>23</t>
  </si>
  <si>
    <t>24</t>
  </si>
  <si>
    <t>26</t>
  </si>
  <si>
    <t>Раздел 4. Восстановление благоустройства:</t>
  </si>
  <si>
    <t>Бордюрный камень б\у</t>
  </si>
  <si>
    <t>Восстановление грунта с посевом многолетних трав</t>
  </si>
  <si>
    <t>№
 п/п</t>
  </si>
  <si>
    <t>расход - 2 кг/кв.м</t>
  </si>
  <si>
    <t>«____»___________________ 2023 г.</t>
  </si>
  <si>
    <t>13</t>
  </si>
  <si>
    <t>14</t>
  </si>
  <si>
    <t>15</t>
  </si>
  <si>
    <t>3</t>
  </si>
  <si>
    <t>Демонтаж запорной арматуры Ду50</t>
  </si>
  <si>
    <t>4</t>
  </si>
  <si>
    <t>Кран шаровый фланцевый с механическим редуктором ст.09г2с Ду50 с комплектом ответных фланцев</t>
  </si>
  <si>
    <t>Монтаж крепления для трубопровода сети В1 совместно с Т2</t>
  </si>
  <si>
    <t>Полоса 50*5.0 мм</t>
  </si>
  <si>
    <t xml:space="preserve">Монтаж временого трубопровода водоснабжения В1 </t>
  </si>
  <si>
    <t>Труба Ø63мм ПЭ100 SDR11(тип 2, ГОСТ 30732-2006)</t>
  </si>
  <si>
    <t xml:space="preserve"> Т1, Т2</t>
  </si>
  <si>
    <t xml:space="preserve">Подземная прокладка трубопроводов сетей теплоснабжения </t>
  </si>
  <si>
    <t>Антикоррозийное покрытие металлоконструкций битумом за 2 раза</t>
  </si>
  <si>
    <t>Устройство теплоизоляции стыков сети теплоснабжения (Т1)</t>
  </si>
  <si>
    <t>Устройство теплоизоляционного слоя трубопроводов сетей тепло, - водоснабжения (Т2, В1)</t>
  </si>
  <si>
    <t>ППУ-изделия (полуцилиндры и прямые сегменты) толщ. 60 мм</t>
  </si>
  <si>
    <t>Устройство теплоизоляционного слоя запорной арматуры</t>
  </si>
  <si>
    <t>Маты минераловатные t=100 мм</t>
  </si>
  <si>
    <t>В1 совместно с Т2</t>
  </si>
  <si>
    <t>Обмазочная гидроизоляция бетонной подготовки, стен и плиты перекрытия непроходного канала</t>
  </si>
  <si>
    <t>Праймер битумный</t>
  </si>
  <si>
    <t xml:space="preserve">Выполнение оклеечной гидроизоляции стен и плит перекрытий лотков </t>
  </si>
  <si>
    <t>Техноэласт фундамент фикс в один слой</t>
  </si>
  <si>
    <t>Из расчета 0,6 кг/кв.м в 2 слоя</t>
  </si>
  <si>
    <t xml:space="preserve">из расчета 1 кг/кв.м </t>
  </si>
  <si>
    <t>____________ П.Ф. Банку</t>
  </si>
  <si>
    <t>16</t>
  </si>
  <si>
    <t>17</t>
  </si>
  <si>
    <t>18</t>
  </si>
  <si>
    <t>19</t>
  </si>
  <si>
    <t>20</t>
  </si>
  <si>
    <t>21</t>
  </si>
  <si>
    <t>22</t>
  </si>
  <si>
    <t>27</t>
  </si>
  <si>
    <t>29</t>
  </si>
  <si>
    <t>31</t>
  </si>
  <si>
    <t>33</t>
  </si>
  <si>
    <t>35</t>
  </si>
  <si>
    <t>37</t>
  </si>
  <si>
    <t>38</t>
  </si>
  <si>
    <t>39</t>
  </si>
  <si>
    <t>Демонтаж бордюрного камня</t>
  </si>
  <si>
    <t>28</t>
  </si>
  <si>
    <t>40</t>
  </si>
  <si>
    <t>41</t>
  </si>
  <si>
    <t>42</t>
  </si>
  <si>
    <t>43</t>
  </si>
  <si>
    <t xml:space="preserve">  Главный инженер </t>
  </si>
  <si>
    <t>_____________ Е.В. Федотов</t>
  </si>
  <si>
    <t>Погрузка и перевозка грунта на расстояние до 5 км</t>
  </si>
  <si>
    <t>Обратная засыпка траншеи</t>
  </si>
  <si>
    <t>Песок строительный</t>
  </si>
  <si>
    <t>25% от общего объема, удельный вес грунта - 1600 кг\куб.м</t>
  </si>
  <si>
    <t>местным грунтом</t>
  </si>
  <si>
    <t>песком (25% от общего объема)</t>
  </si>
  <si>
    <t>без учета коэффициента на уплотнение</t>
  </si>
  <si>
    <t xml:space="preserve">Демонтаж асфальтобетонного покрытия проезжей части </t>
  </si>
  <si>
    <t>Демонтаж асфальтобетонного покрытия тротуара</t>
  </si>
  <si>
    <t>Демонтаж плит перекрытия непроходного канала (размер 3,0*1,6*0.15 м)</t>
  </si>
  <si>
    <t>Демонтаж трубопроводов Ø219 (Т1, Т2)</t>
  </si>
  <si>
    <t>Демонтаж трубопроводов Ø159 (Т1, Т2)</t>
  </si>
  <si>
    <t>Демонтаж трубопроводов Ø108 (В1)</t>
  </si>
  <si>
    <t>удельный вес - 26,388 кг / пог.м, протяженность участка - 16 м</t>
  </si>
  <si>
    <t>удельный вес - 18,989 кг / пог.м, протяженность участка - 84 м</t>
  </si>
  <si>
    <t>удельный вес - 10,259 кг / пог.м, протяженность участка - 100 м</t>
  </si>
  <si>
    <t>Демонтаж запорной арматуры Ду200</t>
  </si>
  <si>
    <t>Демонтаж запорной арматуры Ду150</t>
  </si>
  <si>
    <t>Демонтаж запорной арматуры Ду100</t>
  </si>
  <si>
    <t>Демонтаж запорной арматуры Ду80</t>
  </si>
  <si>
    <t>количество - 25 шт</t>
  </si>
  <si>
    <t>Муфта электросварная ПЭ-100 SDR11 Ø63</t>
  </si>
  <si>
    <t>Неразъемное соединение переход ПЭ/Сталь Ø63/57</t>
  </si>
  <si>
    <t>Отвод электросварной ПЭ-100 SRD11 90гр. Ø63</t>
  </si>
  <si>
    <t xml:space="preserve"> L=1,3- 25 шт. 
удельный вес - 10,4 кг / пог.м</t>
  </si>
  <si>
    <t>L-0,45 м, кол-во: 84 шт., удельный вес - 1,96 кг/пог.м</t>
  </si>
  <si>
    <t>Опора подвижная СПО-159/280.100</t>
  </si>
  <si>
    <t>Опора подвижная Т13.11</t>
  </si>
  <si>
    <t>Труба эл/св ст.09г2с Ø159*6.0 ГОСТ 10704-91</t>
  </si>
  <si>
    <t>Отвод ст. 09г2с  Ø159*6,0 90гр., ГОСТ 17375-2001</t>
  </si>
  <si>
    <t>Труба ПЭ100 SDR11 Ø110 ГОСТ 18599-2001</t>
  </si>
  <si>
    <t>Отвод электросварной ПЭ100 SDR11 Ø110 90гр.</t>
  </si>
  <si>
    <t>Переход сталь/ПЭ - Ø110/108 ПЭ100 SDR11</t>
  </si>
  <si>
    <t>Кран шаровый фланцевый с механическим редуктором ст.09г2с Ду150 с комплектом ответных фланцев</t>
  </si>
  <si>
    <t>Кран шаровый фланцевый с механическим редуктором ст.09г2с Ду80 с комплектом ответных фланцев</t>
  </si>
  <si>
    <t xml:space="preserve">Труба эл/св ГОСТ 10704-91 ст.09г2с Ø159*6.0-2-ППУ ПЭ (280)  (ГОСТ 30732-2020) </t>
  </si>
  <si>
    <t>Монтаж воздухосборников в верхних точках Ø15</t>
  </si>
  <si>
    <t>Кран шаровой Ду15 Ру1,6</t>
  </si>
  <si>
    <t>Монтаж сбросника в нижних точках Ø20</t>
  </si>
  <si>
    <t>Кран шаровой Ду20 Ру1,6</t>
  </si>
  <si>
    <t>Монтаж резьбы</t>
  </si>
  <si>
    <t>Монтаж балансировочного клапана Ø50</t>
  </si>
  <si>
    <t>Кол.-во: Ø20-4 шт.;
Ø15-4 шт.</t>
  </si>
  <si>
    <t>Кран шаровый фланцевый с механическим редуктором ст.09г2с Ду100 с комплектом ответных фланцев</t>
  </si>
  <si>
    <t>Установка пож. гидрантов</t>
  </si>
  <si>
    <t xml:space="preserve">Пожарный гидрант Дорошевского </t>
  </si>
  <si>
    <t>Комплект изоляции стыков 159/280 ППУ ПЭ (муфта термоусаживаемая L=500мм)</t>
  </si>
  <si>
    <t>Монтаж плит перекрытия непроходного канала (размер 3,0*1,6*0.15 м)</t>
  </si>
  <si>
    <t>Монтаж бортовых камней местных проездов</t>
  </si>
  <si>
    <t xml:space="preserve">Устройство щебеночного основания под асфальтобетонное покрытие автомобильной дороги </t>
  </si>
  <si>
    <t>Щебень фр. 40-70 мм (t=0,15 м)</t>
  </si>
  <si>
    <t>Щебень фр. 20-40 мм (t=0,15 м)</t>
  </si>
  <si>
    <t xml:space="preserve">Устройство щебеночного основания под асфальтобетонное покрытие тратуара </t>
  </si>
  <si>
    <t>Щебень фр. 40-70 мм(t=0,15 м)</t>
  </si>
  <si>
    <t>Щебень фр. 20-40 мм(t=0,15 м)</t>
  </si>
  <si>
    <t>Обратный монтаж</t>
  </si>
  <si>
    <t>коэффициент на уплотнение - 1,1</t>
  </si>
  <si>
    <t>протяженность участка - 8 пог.м, ширина - 2,05 пог.м</t>
  </si>
  <si>
    <t xml:space="preserve">протяженность участка - 1,2 пог.м, ширина - 2,05 пог.м </t>
  </si>
  <si>
    <t>6</t>
  </si>
  <si>
    <t>30</t>
  </si>
  <si>
    <t>34</t>
  </si>
  <si>
    <t>Изготовление и монтаж траверс под подвижные опоры</t>
  </si>
  <si>
    <t>Хлорирование трубопровода сети водоснабжения Ø110 с последующей промывкой</t>
  </si>
  <si>
    <t>Муфта электросварная ПЭ100 SDR11 Ø110</t>
  </si>
  <si>
    <t>Начальник участка №2 СП "Инженерные сети"</t>
  </si>
  <si>
    <t>____________ Д.В. Родионов</t>
  </si>
  <si>
    <r>
      <rPr>
        <b/>
        <sz val="12"/>
        <rFont val="Times New Roman"/>
        <family val="1"/>
        <charset val="204"/>
      </rPr>
      <t>Наименование объекта:</t>
    </r>
    <r>
      <rPr>
        <sz val="12"/>
        <rFont val="Times New Roman"/>
        <family val="1"/>
        <charset val="204"/>
      </rPr>
      <t xml:space="preserve">  "Сети тепловодоснабжения от 3УТ 17/4  сущ. до жилого дома" "Инженерные сети в кварталах №45,46 от кот.№21до ТК-8" (участок сети ТВС котельной №21 от камеры 3ТК-17 по ул.З.Космодемьянской 51 до камеры 3ТК-17.2 и ввода в дом по ул.З.Космодемьянской 51, 55). Инв.№00006570 (Т1, Т2), №00003974 (В1)</t>
    </r>
  </si>
  <si>
    <r>
      <rPr>
        <b/>
        <sz val="12"/>
        <rFont val="Times New Roman"/>
        <family val="1"/>
        <charset val="204"/>
      </rPr>
      <t>Наименование мероприятия:</t>
    </r>
    <r>
      <rPr>
        <sz val="12"/>
        <rFont val="Times New Roman"/>
        <family val="1"/>
        <charset val="204"/>
      </rPr>
      <t xml:space="preserve"> Капитальный ремонт объекта "Сети тепловодоснабжения от 3УТ 17/4  сущ. до жилого дома" "Инженерные сети в кварталах №45,46 от кот.№21до ТК-8" (участок сети ТВС котельной №21 от камеры 3ТК-17 по ул.З.Космодемьянской 51 до камеры 3ТК-17.2 и ввода в дом по ул.З.Космодемьянской 51, 55). Инв.№00006570 (Т1, Т2), №00003974 (В1)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</si>
</sst>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$&quot;#,##0_);[Red]\(&quot;$&quot;#,##0\)"/>
    <numFmt numFmtId="167" formatCode="General_)"/>
    <numFmt numFmtId="168" formatCode="0.000"/>
    <numFmt numFmtId="169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NTHarmonica"/>
    </font>
    <font>
      <sz val="10"/>
      <name val="Arial"/>
      <family val="2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2" fillId="0" borderId="0"/>
    <xf numFmtId="0" fontId="4" fillId="0" borderId="0"/>
    <xf numFmtId="166" fontId="11" fillId="0" borderId="0" applyFont="0" applyFill="0" applyBorder="0" applyAlignment="0" applyProtection="0"/>
    <xf numFmtId="49" fontId="8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7" fontId="14" fillId="0" borderId="2">
      <protection locked="0"/>
    </xf>
    <xf numFmtId="0" fontId="15" fillId="0" borderId="0" applyBorder="0">
      <alignment horizontal="center" vertical="center" wrapText="1"/>
    </xf>
    <xf numFmtId="0" fontId="9" fillId="0" borderId="3" applyBorder="0">
      <alignment horizontal="center" vertical="center" wrapText="1"/>
    </xf>
    <xf numFmtId="167" fontId="16" fillId="4" borderId="2"/>
    <xf numFmtId="4" fontId="8" fillId="5" borderId="1" applyBorder="0">
      <alignment horizontal="right"/>
    </xf>
    <xf numFmtId="0" fontId="17" fillId="6" borderId="0" applyFill="0">
      <alignment wrapText="1"/>
    </xf>
    <xf numFmtId="0" fontId="18" fillId="0" borderId="0">
      <alignment horizontal="center" vertical="top" wrapText="1"/>
    </xf>
    <xf numFmtId="0" fontId="19" fillId="0" borderId="0">
      <alignment horizontal="centerContinuous" vertical="center" wrapText="1"/>
    </xf>
    <xf numFmtId="0" fontId="10" fillId="0" borderId="0"/>
    <xf numFmtId="49" fontId="17" fillId="0" borderId="0">
      <alignment horizontal="center"/>
    </xf>
    <xf numFmtId="164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4" fillId="0" borderId="0" applyFont="0" applyFill="0" applyBorder="0" applyAlignment="0" applyProtection="0"/>
    <xf numFmtId="4" fontId="8" fillId="6" borderId="0" applyBorder="0">
      <alignment horizontal="right"/>
    </xf>
    <xf numFmtId="4" fontId="8" fillId="7" borderId="4" applyBorder="0">
      <alignment horizontal="right"/>
    </xf>
    <xf numFmtId="4" fontId="8" fillId="6" borderId="1" applyFont="0" applyBorder="0">
      <alignment horizontal="right"/>
    </xf>
    <xf numFmtId="0" fontId="4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</cellStyleXfs>
  <cellXfs count="136">
    <xf numFmtId="0" fontId="0" fillId="0" borderId="0" xfId="0"/>
    <xf numFmtId="2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2" fillId="2" borderId="1" xfId="0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6" fillId="0" borderId="0" xfId="0" applyFont="1"/>
    <xf numFmtId="0" fontId="5" fillId="2" borderId="0" xfId="0" applyFont="1" applyFill="1"/>
    <xf numFmtId="0" fontId="24" fillId="2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5" fillId="2" borderId="0" xfId="0" applyNumberFormat="1" applyFont="1" applyFill="1"/>
    <xf numFmtId="0" fontId="5" fillId="2" borderId="0" xfId="0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/>
    </xf>
    <xf numFmtId="49" fontId="5" fillId="2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/>
    <xf numFmtId="0" fontId="5" fillId="3" borderId="0" xfId="0" applyFont="1" applyFill="1" applyBorder="1" applyAlignment="1">
      <alignment horizontal="center" vertical="center" wrapText="1"/>
    </xf>
    <xf numFmtId="0" fontId="5" fillId="8" borderId="0" xfId="0" applyFont="1" applyFill="1"/>
    <xf numFmtId="0" fontId="5" fillId="2" borderId="0" xfId="0" applyFont="1" applyFill="1" applyBorder="1"/>
    <xf numFmtId="49" fontId="23" fillId="2" borderId="1" xfId="0" applyNumberFormat="1" applyFont="1" applyFill="1" applyBorder="1" applyAlignment="1">
      <alignment horizontal="center" vertical="center" wrapText="1"/>
    </xf>
    <xf numFmtId="0" fontId="23" fillId="2" borderId="1" xfId="25" applyFont="1" applyFill="1" applyBorder="1" applyAlignment="1">
      <alignment vertical="center" wrapText="1"/>
    </xf>
    <xf numFmtId="0" fontId="23" fillId="0" borderId="1" xfId="25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24" fillId="2" borderId="1" xfId="25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9" fontId="24" fillId="2" borderId="1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wrapText="1"/>
    </xf>
    <xf numFmtId="0" fontId="24" fillId="2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0" borderId="5" xfId="0" applyFont="1" applyFill="1" applyBorder="1" applyAlignment="1">
      <alignment horizontal="center" vertical="center" wrapText="1"/>
    </xf>
    <xf numFmtId="169" fontId="23" fillId="2" borderId="1" xfId="0" applyNumberFormat="1" applyFont="1" applyFill="1" applyBorder="1" applyAlignment="1">
      <alignment horizontal="center" vertical="center" wrapText="1"/>
    </xf>
    <xf numFmtId="169" fontId="22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169" fontId="23" fillId="0" borderId="1" xfId="0" applyNumberFormat="1" applyFont="1" applyFill="1" applyBorder="1" applyAlignment="1">
      <alignment horizontal="center" vertical="center" wrapText="1"/>
    </xf>
    <xf numFmtId="169" fontId="2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8" fontId="5" fillId="2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169" fontId="2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9" borderId="1" xfId="25" applyFont="1" applyFill="1" applyBorder="1" applyAlignment="1">
      <alignment vertical="center" wrapText="1"/>
    </xf>
    <xf numFmtId="0" fontId="5" fillId="9" borderId="7" xfId="25" applyFont="1" applyFill="1" applyBorder="1" applyAlignment="1">
      <alignment vertical="center" wrapText="1"/>
    </xf>
    <xf numFmtId="0" fontId="22" fillId="9" borderId="7" xfId="25" applyFont="1" applyFill="1" applyBorder="1" applyAlignment="1">
      <alignment vertical="center" wrapText="1"/>
    </xf>
    <xf numFmtId="0" fontId="5" fillId="2" borderId="1" xfId="26" applyFont="1" applyFill="1" applyBorder="1" applyAlignment="1">
      <alignment horizontal="center" vertical="center" wrapText="1"/>
    </xf>
    <xf numFmtId="0" fontId="22" fillId="2" borderId="1" xfId="26" applyFont="1" applyFill="1" applyBorder="1" applyAlignment="1">
      <alignment horizontal="center" vertical="center" wrapText="1"/>
    </xf>
    <xf numFmtId="0" fontId="5" fillId="2" borderId="8" xfId="26" applyFont="1" applyFill="1" applyBorder="1" applyAlignment="1">
      <alignment horizontal="center" vertical="center" wrapText="1"/>
    </xf>
    <xf numFmtId="0" fontId="5" fillId="2" borderId="1" xfId="26" applyFont="1" applyFill="1" applyBorder="1" applyAlignment="1">
      <alignment horizontal="left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26" applyFont="1" applyBorder="1" applyAlignment="1">
      <alignment horizontal="center" vertical="center" wrapText="1"/>
    </xf>
    <xf numFmtId="0" fontId="22" fillId="0" borderId="0" xfId="0" applyFont="1"/>
    <xf numFmtId="0" fontId="2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9" fontId="22" fillId="0" borderId="1" xfId="0" applyNumberFormat="1" applyFont="1" applyFill="1" applyBorder="1" applyAlignment="1">
      <alignment horizontal="center" vertical="center" wrapText="1"/>
    </xf>
    <xf numFmtId="0" fontId="27" fillId="0" borderId="1" xfId="28" applyFont="1" applyBorder="1" applyAlignment="1">
      <alignment horizontal="left" vertical="center"/>
    </xf>
    <xf numFmtId="0" fontId="23" fillId="0" borderId="1" xfId="28" applyFont="1" applyBorder="1" applyAlignment="1">
      <alignment horizontal="left" vertical="center" wrapText="1"/>
    </xf>
    <xf numFmtId="0" fontId="24" fillId="0" borderId="1" xfId="28" applyFont="1" applyBorder="1" applyAlignment="1">
      <alignment horizontal="left" vertical="center" wrapText="1"/>
    </xf>
    <xf numFmtId="0" fontId="5" fillId="0" borderId="1" xfId="29" applyFont="1" applyBorder="1" applyAlignment="1">
      <alignment horizontal="center" vertical="center" wrapText="1"/>
    </xf>
    <xf numFmtId="0" fontId="22" fillId="0" borderId="1" xfId="29" applyFont="1" applyBorder="1" applyAlignment="1">
      <alignment horizontal="center" vertical="center" wrapText="1"/>
    </xf>
    <xf numFmtId="0" fontId="5" fillId="0" borderId="1" xfId="30" applyFont="1" applyBorder="1" applyAlignment="1">
      <alignment horizontal="center" vertical="center" wrapText="1"/>
    </xf>
    <xf numFmtId="0" fontId="5" fillId="0" borderId="1" xfId="3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2" borderId="1" xfId="25" applyFont="1" applyFill="1" applyBorder="1" applyAlignment="1">
      <alignment horizontal="left" vertical="center"/>
    </xf>
    <xf numFmtId="0" fontId="24" fillId="0" borderId="1" xfId="2" applyFont="1" applyBorder="1" applyAlignment="1">
      <alignment horizontal="left" vertical="center" wrapText="1"/>
    </xf>
    <xf numFmtId="0" fontId="23" fillId="0" borderId="1" xfId="25" applyFont="1" applyBorder="1" applyAlignment="1">
      <alignment horizontal="left" vertical="center" wrapText="1"/>
    </xf>
    <xf numFmtId="0" fontId="24" fillId="2" borderId="1" xfId="2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3" fillId="0" borderId="1" xfId="25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5" xfId="2" applyFont="1" applyBorder="1" applyAlignment="1">
      <alignment horizontal="center" vertical="center" wrapText="1"/>
    </xf>
    <xf numFmtId="0" fontId="23" fillId="0" borderId="5" xfId="25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left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right" wrapText="1"/>
    </xf>
  </cellXfs>
  <cellStyles count="32">
    <cellStyle name="Currency [0]" xfId="3" xr:uid="{00000000-0005-0000-0000-000000000000}"/>
    <cellStyle name="Normal_Form2.1" xfId="4" xr:uid="{00000000-0005-0000-0000-000001000000}"/>
    <cellStyle name="Normal1" xfId="5" xr:uid="{00000000-0005-0000-0000-000002000000}"/>
    <cellStyle name="Price_Body" xfId="6" xr:uid="{00000000-0005-0000-0000-000003000000}"/>
    <cellStyle name="Беззащитный" xfId="7" xr:uid="{00000000-0005-0000-0000-000004000000}"/>
    <cellStyle name="Заголовок" xfId="8" xr:uid="{00000000-0005-0000-0000-000005000000}"/>
    <cellStyle name="ЗаголовокСтолбца" xfId="9" xr:uid="{00000000-0005-0000-0000-000006000000}"/>
    <cellStyle name="Защитный" xfId="10" xr:uid="{00000000-0005-0000-0000-000007000000}"/>
    <cellStyle name="Значение" xfId="11" xr:uid="{00000000-0005-0000-0000-000008000000}"/>
    <cellStyle name="Мои наименования показателей" xfId="12" xr:uid="{00000000-0005-0000-0000-000009000000}"/>
    <cellStyle name="Мой заголовок" xfId="13" xr:uid="{00000000-0005-0000-0000-00000A000000}"/>
    <cellStyle name="Мой заголовок листа" xfId="14" xr:uid="{00000000-0005-0000-0000-00000B000000}"/>
    <cellStyle name="Обычный" xfId="0" builtinId="0"/>
    <cellStyle name="Обычный 2" xfId="2" xr:uid="{00000000-0005-0000-0000-00000D000000}"/>
    <cellStyle name="Обычный 20" xfId="28" xr:uid="{A48DB1FE-A3E6-4C27-A28A-F95B9270DEAD}"/>
    <cellStyle name="Обычный 23" xfId="31" xr:uid="{6F7D4EA2-A513-4783-800E-4360C205A94C}"/>
    <cellStyle name="Обычный 3" xfId="23" xr:uid="{00000000-0005-0000-0000-00000E000000}"/>
    <cellStyle name="Обычный 4" xfId="24" xr:uid="{00000000-0005-0000-0000-00000F000000}"/>
    <cellStyle name="Обычный 5" xfId="25" xr:uid="{00000000-0005-0000-0000-000010000000}"/>
    <cellStyle name="Обычный 53" xfId="29" xr:uid="{0FEA36E6-28DF-4A89-A5D9-5798040BD64B}"/>
    <cellStyle name="Обычный 56" xfId="30" xr:uid="{32ABE206-FE77-4B82-9887-A03963C62C34}"/>
    <cellStyle name="Обычный 6" xfId="1" xr:uid="{00000000-0005-0000-0000-000011000000}"/>
    <cellStyle name="Обычный 7" xfId="26" xr:uid="{2A62D0FD-EEA0-4DEC-A9B7-BA715D97B1E3}"/>
    <cellStyle name="Обычный 9" xfId="27" xr:uid="{D8D9B7DC-161F-4EBF-ACFC-479B7CDAEF52}"/>
    <cellStyle name="Стиль 1" xfId="15" xr:uid="{00000000-0005-0000-0000-000012000000}"/>
    <cellStyle name="Текстовый" xfId="16" xr:uid="{00000000-0005-0000-0000-000013000000}"/>
    <cellStyle name="Тысячи [0]_3Com" xfId="17" xr:uid="{00000000-0005-0000-0000-000014000000}"/>
    <cellStyle name="Тысячи_3Com" xfId="18" xr:uid="{00000000-0005-0000-0000-000015000000}"/>
    <cellStyle name="Финансовый 2" xfId="19" xr:uid="{00000000-0005-0000-0000-000016000000}"/>
    <cellStyle name="Формула" xfId="20" xr:uid="{00000000-0005-0000-0000-000017000000}"/>
    <cellStyle name="ФормулаВБ" xfId="21" xr:uid="{00000000-0005-0000-0000-000018000000}"/>
    <cellStyle name="ФормулаНаКонтроль" xfId="22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8"/>
  <sheetViews>
    <sheetView tabSelected="1" view="pageBreakPreview" topLeftCell="C4" zoomScale="115" zoomScaleSheetLayoutView="115" workbookViewId="0">
      <selection activeCell="C11" sqref="C11:G11"/>
    </sheetView>
  </sheetViews>
  <sheetFormatPr defaultColWidth="9.140625" defaultRowHeight="15.75"/>
  <cols>
    <col min="1" max="1" width="2" style="4" hidden="1" customWidth="1"/>
    <col min="2" max="2" width="9.140625" style="4" hidden="1" customWidth="1"/>
    <col min="3" max="3" width="5.7109375" style="5" customWidth="1"/>
    <col min="4" max="4" width="50.7109375" style="4" customWidth="1"/>
    <col min="5" max="6" width="8.7109375" style="4" customWidth="1"/>
    <col min="7" max="7" width="20.7109375" style="4" customWidth="1"/>
    <col min="8" max="11" width="9.140625" style="4"/>
    <col min="12" max="12" width="58.85546875" style="4" customWidth="1"/>
    <col min="13" max="16384" width="9.140625" style="4"/>
  </cols>
  <sheetData>
    <row r="1" spans="1:15" ht="0.75" hidden="1" customHeight="1">
      <c r="A1" s="16"/>
      <c r="B1" s="16"/>
      <c r="C1" s="19"/>
      <c r="D1" s="20"/>
      <c r="E1" s="20"/>
      <c r="F1" s="20"/>
      <c r="G1" s="20"/>
    </row>
    <row r="2" spans="1:15" hidden="1">
      <c r="A2" s="16"/>
      <c r="B2" s="16"/>
      <c r="C2" s="19"/>
      <c r="D2" s="20"/>
      <c r="E2" s="20"/>
      <c r="F2" s="20"/>
      <c r="G2" s="20"/>
    </row>
    <row r="3" spans="1:15" hidden="1">
      <c r="A3" s="16"/>
      <c r="B3" s="16"/>
      <c r="C3" s="19"/>
      <c r="D3" s="20"/>
      <c r="E3" s="20"/>
      <c r="F3" s="20"/>
      <c r="G3" s="20"/>
    </row>
    <row r="4" spans="1:15" ht="16.5" customHeight="1">
      <c r="A4" s="16"/>
      <c r="B4" s="16"/>
      <c r="C4" s="134"/>
      <c r="D4" s="134"/>
      <c r="E4" s="131" t="s">
        <v>32</v>
      </c>
      <c r="F4" s="131"/>
      <c r="G4" s="131"/>
    </row>
    <row r="5" spans="1:15">
      <c r="A5" s="16"/>
      <c r="B5" s="16"/>
      <c r="C5" s="134"/>
      <c r="D5" s="134"/>
      <c r="E5" s="131" t="s">
        <v>108</v>
      </c>
      <c r="F5" s="131"/>
      <c r="G5" s="131"/>
    </row>
    <row r="6" spans="1:15" ht="16.5" customHeight="1">
      <c r="A6" s="16"/>
      <c r="B6" s="16"/>
      <c r="C6" s="21"/>
      <c r="D6" s="22"/>
      <c r="E6" s="131" t="s">
        <v>2</v>
      </c>
      <c r="F6" s="131"/>
      <c r="G6" s="131"/>
    </row>
    <row r="7" spans="1:15" ht="30.95" customHeight="1">
      <c r="A7" s="16"/>
      <c r="B7" s="16"/>
      <c r="C7" s="130"/>
      <c r="D7" s="130"/>
      <c r="E7" s="135" t="s">
        <v>109</v>
      </c>
      <c r="F7" s="135"/>
      <c r="G7" s="135"/>
      <c r="K7" s="129"/>
      <c r="L7" s="129"/>
      <c r="M7" s="129"/>
      <c r="N7" s="129"/>
      <c r="O7" s="129"/>
    </row>
    <row r="8" spans="1:15">
      <c r="A8" s="16"/>
      <c r="B8" s="16"/>
      <c r="C8" s="23"/>
      <c r="D8" s="16"/>
      <c r="E8" s="132" t="s">
        <v>59</v>
      </c>
      <c r="F8" s="132"/>
      <c r="G8" s="132"/>
      <c r="H8" s="4" t="s">
        <v>5</v>
      </c>
    </row>
    <row r="9" spans="1:15">
      <c r="A9" s="16"/>
      <c r="B9" s="16"/>
      <c r="C9" s="23"/>
      <c r="D9" s="16"/>
      <c r="E9" s="24"/>
      <c r="F9" s="24"/>
      <c r="G9" s="24"/>
      <c r="L9" s="4">
        <f>80+60+108+80+110+60+80+60+108+60+80+400</f>
        <v>1286</v>
      </c>
    </row>
    <row r="10" spans="1:15">
      <c r="A10" s="16"/>
      <c r="B10" s="16"/>
      <c r="C10" s="23"/>
      <c r="D10" s="16"/>
      <c r="E10" s="24"/>
      <c r="F10" s="24"/>
      <c r="G10" s="24"/>
    </row>
    <row r="11" spans="1:15" ht="61.5" customHeight="1">
      <c r="A11" s="16"/>
      <c r="B11" s="16"/>
      <c r="C11" s="123" t="s">
        <v>177</v>
      </c>
      <c r="D11" s="123"/>
      <c r="E11" s="123"/>
      <c r="F11" s="123"/>
      <c r="G11" s="123"/>
      <c r="K11" s="129"/>
      <c r="L11" s="129"/>
      <c r="M11" s="129"/>
      <c r="N11" s="129"/>
      <c r="O11" s="129"/>
    </row>
    <row r="12" spans="1:15">
      <c r="A12" s="16"/>
      <c r="B12" s="16"/>
      <c r="C12" s="46"/>
      <c r="D12" s="46"/>
      <c r="E12" s="46"/>
      <c r="F12" s="46"/>
      <c r="G12" s="46"/>
      <c r="K12" s="6"/>
      <c r="L12" s="6"/>
      <c r="M12" s="6"/>
      <c r="N12" s="6"/>
      <c r="O12" s="6"/>
    </row>
    <row r="13" spans="1:15">
      <c r="A13" s="16"/>
      <c r="B13" s="16"/>
      <c r="C13" s="133" t="s">
        <v>22</v>
      </c>
      <c r="D13" s="133"/>
      <c r="E13" s="133"/>
      <c r="F13" s="133"/>
      <c r="G13" s="133"/>
      <c r="K13" s="6"/>
      <c r="L13" s="6"/>
      <c r="M13" s="6"/>
      <c r="N13" s="6"/>
      <c r="O13" s="6"/>
    </row>
    <row r="14" spans="1:15">
      <c r="A14" s="16"/>
      <c r="B14" s="16"/>
      <c r="C14" s="123" t="s">
        <v>5</v>
      </c>
      <c r="D14" s="123"/>
      <c r="E14" s="47"/>
      <c r="F14" s="47"/>
      <c r="G14" s="48"/>
      <c r="L14" s="7"/>
      <c r="M14" s="7"/>
      <c r="N14" s="7"/>
      <c r="O14" s="7"/>
    </row>
    <row r="15" spans="1:15" ht="63" customHeight="1">
      <c r="A15" s="16"/>
      <c r="B15" s="16"/>
      <c r="C15" s="123" t="s">
        <v>178</v>
      </c>
      <c r="D15" s="123"/>
      <c r="E15" s="123"/>
      <c r="F15" s="123"/>
      <c r="G15" s="123"/>
      <c r="L15" s="7"/>
      <c r="M15" s="7"/>
      <c r="N15" s="7"/>
      <c r="O15" s="7"/>
    </row>
    <row r="16" spans="1:15">
      <c r="A16" s="16"/>
      <c r="B16" s="16"/>
      <c r="C16" s="25"/>
      <c r="D16" s="26"/>
      <c r="E16" s="26"/>
      <c r="F16" s="26"/>
      <c r="G16" s="26"/>
      <c r="K16" s="6"/>
      <c r="L16" s="6"/>
      <c r="M16" s="6"/>
      <c r="N16" s="6"/>
      <c r="O16" s="6"/>
    </row>
    <row r="17" spans="1:14">
      <c r="A17" s="16"/>
      <c r="B17" s="16"/>
      <c r="C17" s="122" t="s">
        <v>1</v>
      </c>
      <c r="D17" s="122"/>
      <c r="E17" s="122"/>
      <c r="F17" s="122"/>
      <c r="G17" s="122"/>
      <c r="J17" s="4" t="s">
        <v>5</v>
      </c>
    </row>
    <row r="18" spans="1:14">
      <c r="A18" s="16"/>
      <c r="B18" s="16"/>
      <c r="C18" s="19"/>
      <c r="D18" s="20"/>
      <c r="E18" s="20"/>
      <c r="F18" s="20"/>
      <c r="G18" s="20"/>
    </row>
    <row r="19" spans="1:14" ht="30.95" customHeight="1">
      <c r="A19" s="16"/>
      <c r="B19" s="16"/>
      <c r="C19" s="49" t="s">
        <v>57</v>
      </c>
      <c r="D19" s="42" t="s">
        <v>13</v>
      </c>
      <c r="E19" s="2" t="s">
        <v>14</v>
      </c>
      <c r="F19" s="42" t="s">
        <v>15</v>
      </c>
      <c r="G19" s="42" t="s">
        <v>0</v>
      </c>
    </row>
    <row r="20" spans="1:14">
      <c r="A20" s="16"/>
      <c r="B20" s="16"/>
      <c r="C20" s="49"/>
      <c r="D20" s="2">
        <v>2</v>
      </c>
      <c r="E20" s="2">
        <v>3</v>
      </c>
      <c r="F20" s="2">
        <v>4</v>
      </c>
      <c r="G20" s="2">
        <v>5</v>
      </c>
    </row>
    <row r="21" spans="1:14">
      <c r="A21" s="16"/>
      <c r="B21" s="16"/>
      <c r="C21" s="127" t="s">
        <v>28</v>
      </c>
      <c r="D21" s="127"/>
      <c r="E21" s="127"/>
      <c r="F21" s="127"/>
      <c r="G21" s="127"/>
    </row>
    <row r="22" spans="1:14">
      <c r="A22" s="16"/>
      <c r="B22" s="16"/>
      <c r="C22" s="49">
        <v>1</v>
      </c>
      <c r="D22" s="27" t="s">
        <v>7</v>
      </c>
      <c r="E22" s="2" t="s">
        <v>8</v>
      </c>
      <c r="F22" s="3">
        <f>(1.3+2.05)/2*1.5*100</f>
        <v>251.24999999999997</v>
      </c>
      <c r="G22" s="2"/>
      <c r="I22" s="1">
        <f>18+15+1.6+1.7+3.2+1.6*2+42</f>
        <v>84.700000000000017</v>
      </c>
    </row>
    <row r="23" spans="1:14">
      <c r="A23" s="16"/>
      <c r="B23" s="16"/>
      <c r="C23" s="49">
        <v>2</v>
      </c>
      <c r="D23" s="27" t="s">
        <v>10</v>
      </c>
      <c r="E23" s="2" t="s">
        <v>8</v>
      </c>
      <c r="F23" s="3">
        <f>F22*0.1</f>
        <v>25.125</v>
      </c>
      <c r="G23" s="2"/>
    </row>
    <row r="24" spans="1:14" ht="63">
      <c r="A24" s="16"/>
      <c r="B24" s="16"/>
      <c r="C24" s="49" t="s">
        <v>63</v>
      </c>
      <c r="D24" s="90" t="s">
        <v>110</v>
      </c>
      <c r="E24" s="93" t="s">
        <v>6</v>
      </c>
      <c r="F24" s="3">
        <f>F26*1600/1000</f>
        <v>110.55</v>
      </c>
      <c r="G24" s="93" t="s">
        <v>113</v>
      </c>
      <c r="I24" s="4">
        <f>377/3</f>
        <v>125.66666666666667</v>
      </c>
    </row>
    <row r="25" spans="1:14" ht="51.75" customHeight="1">
      <c r="A25" s="16"/>
      <c r="B25" s="16"/>
      <c r="C25" s="49" t="s">
        <v>65</v>
      </c>
      <c r="D25" s="91" t="s">
        <v>111</v>
      </c>
      <c r="E25" s="95" t="s">
        <v>8</v>
      </c>
      <c r="F25" s="3">
        <f>F22+F23-F26</f>
        <v>207.28125</v>
      </c>
      <c r="G25" s="93" t="s">
        <v>114</v>
      </c>
    </row>
    <row r="26" spans="1:14" ht="31.5">
      <c r="A26" s="16"/>
      <c r="B26" s="16"/>
      <c r="C26" s="62">
        <v>5</v>
      </c>
      <c r="D26" s="91" t="s">
        <v>111</v>
      </c>
      <c r="E26" s="93" t="s">
        <v>8</v>
      </c>
      <c r="F26" s="63">
        <f>(F22+F23)*0.25</f>
        <v>69.09375</v>
      </c>
      <c r="G26" s="93" t="s">
        <v>115</v>
      </c>
      <c r="J26" s="37"/>
      <c r="N26" s="8"/>
    </row>
    <row r="27" spans="1:14" ht="47.25">
      <c r="A27" s="16"/>
      <c r="B27" s="16"/>
      <c r="C27" s="61" t="s">
        <v>3</v>
      </c>
      <c r="D27" s="92" t="s">
        <v>112</v>
      </c>
      <c r="E27" s="94" t="s">
        <v>8</v>
      </c>
      <c r="F27" s="65">
        <f>F26</f>
        <v>69.09375</v>
      </c>
      <c r="G27" s="94" t="s">
        <v>116</v>
      </c>
      <c r="J27" s="37"/>
      <c r="N27" s="8"/>
    </row>
    <row r="28" spans="1:14">
      <c r="A28" s="16"/>
      <c r="B28" s="16"/>
      <c r="C28" s="127" t="s">
        <v>29</v>
      </c>
      <c r="D28" s="127"/>
      <c r="E28" s="127"/>
      <c r="F28" s="127"/>
      <c r="G28" s="127"/>
    </row>
    <row r="29" spans="1:14" ht="31.5">
      <c r="A29" s="16"/>
      <c r="B29" s="16"/>
      <c r="C29" s="49" t="s">
        <v>169</v>
      </c>
      <c r="D29" s="96" t="s">
        <v>117</v>
      </c>
      <c r="E29" s="93" t="s">
        <v>9</v>
      </c>
      <c r="F29" s="2">
        <f>8*2.05</f>
        <v>16.399999999999999</v>
      </c>
      <c r="G29" s="2"/>
    </row>
    <row r="30" spans="1:14">
      <c r="A30" s="16"/>
      <c r="B30" s="16"/>
      <c r="C30" s="49" t="s">
        <v>20</v>
      </c>
      <c r="D30" s="96" t="s">
        <v>118</v>
      </c>
      <c r="E30" s="93" t="s">
        <v>9</v>
      </c>
      <c r="F30" s="2">
        <f>1.2*2.05</f>
        <v>2.4599999999999995</v>
      </c>
      <c r="G30" s="2"/>
    </row>
    <row r="31" spans="1:14" ht="31.5">
      <c r="A31" s="16"/>
      <c r="B31" s="16"/>
      <c r="C31" s="62">
        <v>8</v>
      </c>
      <c r="D31" s="44" t="s">
        <v>102</v>
      </c>
      <c r="E31" s="62" t="s">
        <v>3</v>
      </c>
      <c r="F31" s="63">
        <v>4</v>
      </c>
      <c r="G31" s="64" t="s">
        <v>55</v>
      </c>
      <c r="J31" s="37"/>
      <c r="N31" s="8"/>
    </row>
    <row r="32" spans="1:14" ht="31.5">
      <c r="A32" s="16"/>
      <c r="B32" s="16"/>
      <c r="C32" s="89" t="s">
        <v>36</v>
      </c>
      <c r="D32" s="54" t="s">
        <v>119</v>
      </c>
      <c r="E32" s="55" t="s">
        <v>11</v>
      </c>
      <c r="F32" s="97">
        <v>33</v>
      </c>
      <c r="G32" s="55" t="s">
        <v>49</v>
      </c>
      <c r="K32" s="15"/>
    </row>
    <row r="33" spans="1:14" ht="63">
      <c r="A33" s="16"/>
      <c r="B33" s="16"/>
      <c r="C33" s="89" t="s">
        <v>37</v>
      </c>
      <c r="D33" s="54" t="s">
        <v>33</v>
      </c>
      <c r="E33" s="55" t="s">
        <v>9</v>
      </c>
      <c r="F33" s="65">
        <f>3.14*(0.219+0.05*2)*16*2+3.14*(0.159+0.05*2)*84*2+3.14*(0.108+0.05*2)*100</f>
        <v>233.99280000000005</v>
      </c>
      <c r="G33" s="55" t="s">
        <v>50</v>
      </c>
    </row>
    <row r="34" spans="1:14" ht="63">
      <c r="A34" s="16"/>
      <c r="B34" s="16"/>
      <c r="C34" s="89" t="s">
        <v>16</v>
      </c>
      <c r="D34" s="54" t="s">
        <v>120</v>
      </c>
      <c r="E34" s="55" t="s">
        <v>23</v>
      </c>
      <c r="F34" s="65">
        <v>32</v>
      </c>
      <c r="G34" s="55" t="s">
        <v>123</v>
      </c>
    </row>
    <row r="35" spans="1:14" ht="63">
      <c r="A35" s="16"/>
      <c r="B35" s="16"/>
      <c r="C35" s="89" t="s">
        <v>17</v>
      </c>
      <c r="D35" s="54" t="s">
        <v>121</v>
      </c>
      <c r="E35" s="55" t="s">
        <v>23</v>
      </c>
      <c r="F35" s="65">
        <v>168</v>
      </c>
      <c r="G35" s="55" t="s">
        <v>124</v>
      </c>
    </row>
    <row r="36" spans="1:14" ht="63">
      <c r="A36" s="16"/>
      <c r="B36" s="16"/>
      <c r="C36" s="89" t="s">
        <v>60</v>
      </c>
      <c r="D36" s="54" t="s">
        <v>122</v>
      </c>
      <c r="E36" s="55" t="s">
        <v>23</v>
      </c>
      <c r="F36" s="65">
        <v>100</v>
      </c>
      <c r="G36" s="55" t="s">
        <v>125</v>
      </c>
    </row>
    <row r="37" spans="1:14">
      <c r="A37" s="16"/>
      <c r="B37" s="16"/>
      <c r="C37" s="49" t="s">
        <v>61</v>
      </c>
      <c r="D37" s="54" t="s">
        <v>126</v>
      </c>
      <c r="E37" s="55" t="s">
        <v>4</v>
      </c>
      <c r="F37" s="55">
        <v>2</v>
      </c>
      <c r="G37" s="55" t="s">
        <v>19</v>
      </c>
    </row>
    <row r="38" spans="1:14">
      <c r="A38" s="16"/>
      <c r="B38" s="16"/>
      <c r="C38" s="49" t="s">
        <v>62</v>
      </c>
      <c r="D38" s="54" t="s">
        <v>127</v>
      </c>
      <c r="E38" s="55" t="s">
        <v>4</v>
      </c>
      <c r="F38" s="55">
        <v>2</v>
      </c>
      <c r="G38" s="55" t="s">
        <v>19</v>
      </c>
    </row>
    <row r="39" spans="1:14">
      <c r="A39" s="16"/>
      <c r="B39" s="16"/>
      <c r="C39" s="49" t="s">
        <v>87</v>
      </c>
      <c r="D39" s="54" t="s">
        <v>128</v>
      </c>
      <c r="E39" s="55" t="s">
        <v>4</v>
      </c>
      <c r="F39" s="55">
        <v>2</v>
      </c>
      <c r="G39" s="55" t="s">
        <v>12</v>
      </c>
    </row>
    <row r="40" spans="1:14">
      <c r="A40" s="16"/>
      <c r="B40" s="16"/>
      <c r="C40" s="49" t="s">
        <v>88</v>
      </c>
      <c r="D40" s="54" t="s">
        <v>129</v>
      </c>
      <c r="E40" s="55" t="s">
        <v>4</v>
      </c>
      <c r="F40" s="55">
        <v>4</v>
      </c>
      <c r="G40" s="55" t="s">
        <v>19</v>
      </c>
    </row>
    <row r="41" spans="1:14">
      <c r="A41" s="16"/>
      <c r="B41" s="16"/>
      <c r="C41" s="49" t="s">
        <v>89</v>
      </c>
      <c r="D41" s="54" t="s">
        <v>64</v>
      </c>
      <c r="E41" s="55" t="s">
        <v>4</v>
      </c>
      <c r="F41" s="55">
        <v>2</v>
      </c>
      <c r="G41" s="55" t="s">
        <v>12</v>
      </c>
    </row>
    <row r="42" spans="1:14">
      <c r="A42" s="16"/>
      <c r="B42" s="16"/>
      <c r="C42" s="49" t="s">
        <v>90</v>
      </c>
      <c r="D42" s="13" t="s">
        <v>43</v>
      </c>
      <c r="E42" s="2" t="s">
        <v>6</v>
      </c>
      <c r="F42" s="3">
        <f>(1.3*25)*10.4/1000</f>
        <v>0.33800000000000002</v>
      </c>
      <c r="G42" s="2" t="s">
        <v>130</v>
      </c>
    </row>
    <row r="43" spans="1:14" ht="31.5">
      <c r="A43" s="16"/>
      <c r="B43" s="16"/>
      <c r="C43" s="49" t="s">
        <v>91</v>
      </c>
      <c r="D43" s="13" t="s">
        <v>34</v>
      </c>
      <c r="E43" s="2" t="s">
        <v>6</v>
      </c>
      <c r="F43" s="3">
        <f>26.388*F34/1000+18.989*F35/1000+10.259*F36/1000</f>
        <v>5.0604680000000002</v>
      </c>
      <c r="G43" s="2" t="s">
        <v>39</v>
      </c>
    </row>
    <row r="44" spans="1:14" ht="31.5">
      <c r="A44" s="16"/>
      <c r="B44" s="16"/>
      <c r="C44" s="89" t="s">
        <v>92</v>
      </c>
      <c r="D44" s="54" t="s">
        <v>35</v>
      </c>
      <c r="E44" s="55" t="s">
        <v>6</v>
      </c>
      <c r="F44" s="65">
        <f>F42+35*F33*0.05/1000</f>
        <v>0.74748740000000014</v>
      </c>
      <c r="G44" s="55" t="s">
        <v>38</v>
      </c>
    </row>
    <row r="45" spans="1:14">
      <c r="A45" s="16"/>
      <c r="B45" s="16"/>
      <c r="C45" s="127" t="s">
        <v>30</v>
      </c>
      <c r="D45" s="127"/>
      <c r="E45" s="127"/>
      <c r="F45" s="127"/>
      <c r="G45" s="127"/>
      <c r="N45" s="8"/>
    </row>
    <row r="46" spans="1:14" ht="31.5">
      <c r="A46" s="16"/>
      <c r="B46" s="16"/>
      <c r="C46" s="50" t="s">
        <v>93</v>
      </c>
      <c r="D46" s="13" t="s">
        <v>69</v>
      </c>
      <c r="E46" s="71" t="s">
        <v>26</v>
      </c>
      <c r="F46" s="18">
        <v>100</v>
      </c>
      <c r="G46" s="45"/>
      <c r="N46" s="8"/>
    </row>
    <row r="47" spans="1:14" ht="31.5">
      <c r="A47" s="16"/>
      <c r="B47" s="16"/>
      <c r="C47" s="39" t="s">
        <v>3</v>
      </c>
      <c r="D47" s="73" t="s">
        <v>70</v>
      </c>
      <c r="E47" s="74" t="s">
        <v>26</v>
      </c>
      <c r="F47" s="12">
        <v>100</v>
      </c>
      <c r="G47" s="45"/>
      <c r="N47" s="8"/>
    </row>
    <row r="48" spans="1:14">
      <c r="A48" s="16"/>
      <c r="B48" s="16"/>
      <c r="C48" s="39" t="s">
        <v>3</v>
      </c>
      <c r="D48" s="98" t="s">
        <v>131</v>
      </c>
      <c r="E48" s="99" t="s">
        <v>11</v>
      </c>
      <c r="F48" s="66">
        <v>9</v>
      </c>
      <c r="G48" s="51"/>
      <c r="N48" s="8"/>
    </row>
    <row r="49" spans="1:14" ht="31.5">
      <c r="A49" s="16"/>
      <c r="B49" s="16"/>
      <c r="C49" s="39" t="s">
        <v>3</v>
      </c>
      <c r="D49" s="98" t="s">
        <v>132</v>
      </c>
      <c r="E49" s="99" t="s">
        <v>11</v>
      </c>
      <c r="F49" s="66">
        <v>3</v>
      </c>
      <c r="G49" s="51"/>
      <c r="N49" s="8"/>
    </row>
    <row r="50" spans="1:14">
      <c r="A50" s="16"/>
      <c r="B50" s="16"/>
      <c r="C50" s="39" t="s">
        <v>3</v>
      </c>
      <c r="D50" s="98" t="s">
        <v>133</v>
      </c>
      <c r="E50" s="99" t="s">
        <v>11</v>
      </c>
      <c r="F50" s="12">
        <v>2</v>
      </c>
      <c r="G50" s="67"/>
      <c r="N50" s="8"/>
    </row>
    <row r="51" spans="1:14" ht="31.5">
      <c r="A51" s="16"/>
      <c r="B51" s="16"/>
      <c r="C51" s="50" t="s">
        <v>51</v>
      </c>
      <c r="D51" s="28" t="s">
        <v>172</v>
      </c>
      <c r="E51" s="17" t="s">
        <v>6</v>
      </c>
      <c r="F51" s="18">
        <f>F52</f>
        <v>0.33800000000000002</v>
      </c>
      <c r="G51" s="51"/>
      <c r="N51" s="8"/>
    </row>
    <row r="52" spans="1:14" ht="47.25">
      <c r="A52" s="16"/>
      <c r="B52" s="16"/>
      <c r="C52" s="39" t="s">
        <v>3</v>
      </c>
      <c r="D52" s="40" t="s">
        <v>44</v>
      </c>
      <c r="E52" s="10" t="s">
        <v>6</v>
      </c>
      <c r="F52" s="18">
        <f>1.3*25*10.4/1000</f>
        <v>0.33800000000000002</v>
      </c>
      <c r="G52" s="10" t="s">
        <v>134</v>
      </c>
      <c r="N52" s="8"/>
    </row>
    <row r="53" spans="1:14">
      <c r="A53" s="16"/>
      <c r="B53" s="16"/>
      <c r="C53" s="39" t="s">
        <v>3</v>
      </c>
      <c r="D53" s="75" t="s">
        <v>136</v>
      </c>
      <c r="E53" s="10" t="s">
        <v>4</v>
      </c>
      <c r="F53" s="77">
        <v>25</v>
      </c>
      <c r="G53" s="10"/>
      <c r="N53" s="8"/>
    </row>
    <row r="54" spans="1:14">
      <c r="A54" s="16"/>
      <c r="B54" s="16"/>
      <c r="C54" s="39" t="s">
        <v>3</v>
      </c>
      <c r="D54" s="100" t="s">
        <v>137</v>
      </c>
      <c r="E54" s="10" t="s">
        <v>4</v>
      </c>
      <c r="F54" s="77">
        <v>25</v>
      </c>
      <c r="G54" s="53"/>
      <c r="N54" s="8"/>
    </row>
    <row r="55" spans="1:14" ht="31.5">
      <c r="A55" s="16"/>
      <c r="B55" s="16"/>
      <c r="C55" s="50" t="s">
        <v>52</v>
      </c>
      <c r="D55" s="29" t="s">
        <v>67</v>
      </c>
      <c r="E55" s="71" t="s">
        <v>6</v>
      </c>
      <c r="F55" s="18">
        <f>F56</f>
        <v>7.4088000000000015E-2</v>
      </c>
      <c r="G55" s="51"/>
      <c r="N55" s="8"/>
    </row>
    <row r="56" spans="1:14" ht="47.25">
      <c r="A56" s="16"/>
      <c r="B56" s="16"/>
      <c r="C56" s="39" t="s">
        <v>3</v>
      </c>
      <c r="D56" s="43" t="s">
        <v>68</v>
      </c>
      <c r="E56" s="69" t="s">
        <v>6</v>
      </c>
      <c r="F56" s="18">
        <f>0.45*84*1.96/1000</f>
        <v>7.4088000000000015E-2</v>
      </c>
      <c r="G56" s="70" t="s">
        <v>135</v>
      </c>
      <c r="N56" s="8"/>
    </row>
    <row r="57" spans="1:14" ht="31.5">
      <c r="A57" s="16"/>
      <c r="B57" s="16"/>
      <c r="C57" s="50" t="s">
        <v>18</v>
      </c>
      <c r="D57" s="44" t="s">
        <v>73</v>
      </c>
      <c r="E57" s="72" t="s">
        <v>9</v>
      </c>
      <c r="F57" s="12">
        <f>(3.14*(0.12+(0.052*2))*2*1.3*25)+0.45*0.05*84*2</f>
        <v>49.498399999999997</v>
      </c>
      <c r="G57" s="10"/>
      <c r="N57" s="8"/>
    </row>
    <row r="58" spans="1:14">
      <c r="A58" s="16"/>
      <c r="B58" s="16"/>
      <c r="C58" s="39" t="s">
        <v>3</v>
      </c>
      <c r="D58" s="43" t="s">
        <v>45</v>
      </c>
      <c r="E58" s="69" t="s">
        <v>27</v>
      </c>
      <c r="F58" s="12">
        <f>F57*2</f>
        <v>98.996799999999993</v>
      </c>
      <c r="G58" s="53" t="s">
        <v>58</v>
      </c>
      <c r="N58" s="8"/>
    </row>
    <row r="59" spans="1:14" ht="31.5">
      <c r="A59" s="16"/>
      <c r="B59" s="16"/>
      <c r="C59" s="50" t="s">
        <v>53</v>
      </c>
      <c r="D59" s="101" t="s">
        <v>72</v>
      </c>
      <c r="E59" s="71" t="s">
        <v>26</v>
      </c>
      <c r="F59" s="18">
        <f>F60+F61</f>
        <v>200</v>
      </c>
      <c r="G59" s="76" t="s">
        <v>71</v>
      </c>
      <c r="N59" s="8"/>
    </row>
    <row r="60" spans="1:14" ht="31.5">
      <c r="A60" s="16"/>
      <c r="B60" s="16"/>
      <c r="C60" s="39" t="s">
        <v>3</v>
      </c>
      <c r="D60" s="14" t="s">
        <v>145</v>
      </c>
      <c r="E60" s="74" t="s">
        <v>26</v>
      </c>
      <c r="F60" s="12">
        <v>100</v>
      </c>
      <c r="G60" s="45"/>
      <c r="N60" s="8"/>
    </row>
    <row r="61" spans="1:14">
      <c r="A61" s="16"/>
      <c r="B61" s="16"/>
      <c r="C61" s="39" t="s">
        <v>3</v>
      </c>
      <c r="D61" s="14" t="s">
        <v>138</v>
      </c>
      <c r="E61" s="74" t="s">
        <v>26</v>
      </c>
      <c r="F61" s="12">
        <v>100</v>
      </c>
      <c r="G61" s="45"/>
      <c r="N61" s="8"/>
    </row>
    <row r="62" spans="1:14" ht="31.5">
      <c r="A62" s="16"/>
      <c r="B62" s="16"/>
      <c r="C62" s="39" t="s">
        <v>3</v>
      </c>
      <c r="D62" s="41" t="s">
        <v>139</v>
      </c>
      <c r="E62" s="74" t="s">
        <v>4</v>
      </c>
      <c r="F62" s="78">
        <v>4</v>
      </c>
      <c r="G62" s="45"/>
      <c r="N62" s="8"/>
    </row>
    <row r="63" spans="1:14" ht="31.5">
      <c r="A63" s="16"/>
      <c r="B63" s="16"/>
      <c r="C63" s="50" t="s">
        <v>94</v>
      </c>
      <c r="D63" s="102" t="s">
        <v>40</v>
      </c>
      <c r="E63" s="2" t="s">
        <v>26</v>
      </c>
      <c r="F63" s="18">
        <f>F64</f>
        <v>100</v>
      </c>
      <c r="G63" s="2" t="s">
        <v>12</v>
      </c>
      <c r="N63" s="8"/>
    </row>
    <row r="64" spans="1:14">
      <c r="A64" s="16"/>
      <c r="B64" s="16"/>
      <c r="C64" s="39" t="s">
        <v>3</v>
      </c>
      <c r="D64" s="43" t="s">
        <v>140</v>
      </c>
      <c r="E64" s="74" t="s">
        <v>26</v>
      </c>
      <c r="F64" s="11">
        <v>100</v>
      </c>
      <c r="G64" s="45"/>
      <c r="N64" s="8"/>
    </row>
    <row r="65" spans="1:14">
      <c r="A65" s="16"/>
      <c r="B65" s="16"/>
      <c r="C65" s="39" t="s">
        <v>3</v>
      </c>
      <c r="D65" s="43" t="s">
        <v>141</v>
      </c>
      <c r="E65" s="74" t="s">
        <v>4</v>
      </c>
      <c r="F65" s="77">
        <v>2</v>
      </c>
      <c r="G65" s="45"/>
      <c r="N65" s="8"/>
    </row>
    <row r="66" spans="1:14">
      <c r="A66" s="16"/>
      <c r="B66" s="16"/>
      <c r="C66" s="39" t="s">
        <v>3</v>
      </c>
      <c r="D66" s="43" t="s">
        <v>174</v>
      </c>
      <c r="E66" s="74" t="s">
        <v>4</v>
      </c>
      <c r="F66" s="78">
        <v>9</v>
      </c>
      <c r="G66" s="45"/>
      <c r="N66" s="8"/>
    </row>
    <row r="67" spans="1:14">
      <c r="A67" s="16"/>
      <c r="B67" s="16"/>
      <c r="C67" s="39" t="s">
        <v>3</v>
      </c>
      <c r="D67" s="98" t="s">
        <v>142</v>
      </c>
      <c r="E67" s="74" t="s">
        <v>4</v>
      </c>
      <c r="F67" s="78">
        <v>2</v>
      </c>
      <c r="G67" s="45"/>
      <c r="N67" s="8"/>
    </row>
    <row r="68" spans="1:14" ht="31.5">
      <c r="A68" s="16"/>
      <c r="B68" s="16"/>
      <c r="C68" s="50" t="s">
        <v>103</v>
      </c>
      <c r="D68" s="52" t="s">
        <v>41</v>
      </c>
      <c r="E68" s="2"/>
      <c r="F68" s="84"/>
      <c r="G68" s="76" t="s">
        <v>71</v>
      </c>
      <c r="N68" s="8"/>
    </row>
    <row r="69" spans="1:14" ht="47.25">
      <c r="A69" s="16"/>
      <c r="B69" s="16"/>
      <c r="C69" s="39" t="s">
        <v>3</v>
      </c>
      <c r="D69" s="14" t="s">
        <v>143</v>
      </c>
      <c r="E69" s="74" t="s">
        <v>4</v>
      </c>
      <c r="F69" s="88">
        <v>4</v>
      </c>
      <c r="G69" s="58"/>
      <c r="N69" s="8"/>
    </row>
    <row r="70" spans="1:14" ht="47.25">
      <c r="A70" s="16"/>
      <c r="B70" s="16"/>
      <c r="C70" s="39" t="s">
        <v>3</v>
      </c>
      <c r="D70" s="14" t="s">
        <v>144</v>
      </c>
      <c r="E70" s="74" t="s">
        <v>4</v>
      </c>
      <c r="F70" s="103">
        <v>4</v>
      </c>
      <c r="G70" s="58"/>
      <c r="H70" s="4">
        <f>72+97</f>
        <v>169</v>
      </c>
      <c r="I70" s="4">
        <f>72/4</f>
        <v>18</v>
      </c>
      <c r="N70" s="8"/>
    </row>
    <row r="71" spans="1:14">
      <c r="A71" s="16"/>
      <c r="B71" s="16"/>
      <c r="C71" s="59" t="s">
        <v>95</v>
      </c>
      <c r="D71" s="104" t="s">
        <v>146</v>
      </c>
      <c r="E71" s="107" t="s">
        <v>11</v>
      </c>
      <c r="F71" s="57">
        <f>F72</f>
        <v>4</v>
      </c>
      <c r="G71" s="60"/>
      <c r="N71" s="8"/>
    </row>
    <row r="72" spans="1:14">
      <c r="A72" s="16"/>
      <c r="B72" s="16"/>
      <c r="C72" s="39" t="s">
        <v>3</v>
      </c>
      <c r="D72" s="105" t="s">
        <v>147</v>
      </c>
      <c r="E72" s="108" t="s">
        <v>11</v>
      </c>
      <c r="F72" s="77">
        <v>4</v>
      </c>
      <c r="G72" s="10"/>
      <c r="N72" s="8"/>
    </row>
    <row r="73" spans="1:14">
      <c r="A73" s="16"/>
      <c r="B73" s="16"/>
      <c r="C73" s="59" t="s">
        <v>170</v>
      </c>
      <c r="D73" s="106" t="s">
        <v>148</v>
      </c>
      <c r="E73" s="107" t="s">
        <v>11</v>
      </c>
      <c r="F73" s="57">
        <f>F74</f>
        <v>4</v>
      </c>
      <c r="G73" s="60"/>
      <c r="N73" s="8"/>
    </row>
    <row r="74" spans="1:14">
      <c r="A74" s="16"/>
      <c r="B74" s="16"/>
      <c r="C74" s="39" t="s">
        <v>3</v>
      </c>
      <c r="D74" s="105" t="s">
        <v>149</v>
      </c>
      <c r="E74" s="108" t="s">
        <v>11</v>
      </c>
      <c r="F74" s="78">
        <v>4</v>
      </c>
      <c r="G74" s="10"/>
      <c r="N74" s="8"/>
    </row>
    <row r="75" spans="1:14" ht="31.5">
      <c r="A75" s="16"/>
      <c r="B75" s="16"/>
      <c r="C75" s="39" t="s">
        <v>96</v>
      </c>
      <c r="D75" s="106" t="s">
        <v>150</v>
      </c>
      <c r="E75" s="109" t="s">
        <v>11</v>
      </c>
      <c r="F75" s="78">
        <v>8</v>
      </c>
      <c r="G75" s="110" t="s">
        <v>152</v>
      </c>
      <c r="N75" s="8"/>
    </row>
    <row r="76" spans="1:14">
      <c r="A76" s="16"/>
      <c r="B76" s="16"/>
      <c r="C76" s="56">
        <v>32</v>
      </c>
      <c r="D76" s="106" t="s">
        <v>151</v>
      </c>
      <c r="E76" s="109" t="s">
        <v>11</v>
      </c>
      <c r="F76" s="63">
        <v>2</v>
      </c>
      <c r="G76" s="55"/>
      <c r="N76" s="8"/>
    </row>
    <row r="77" spans="1:14" ht="31.5">
      <c r="A77" s="16"/>
      <c r="B77" s="16"/>
      <c r="C77" s="59" t="s">
        <v>97</v>
      </c>
      <c r="D77" s="52" t="s">
        <v>42</v>
      </c>
      <c r="E77" s="2" t="s">
        <v>4</v>
      </c>
      <c r="F77" s="57"/>
      <c r="G77" s="60"/>
      <c r="N77" s="8"/>
    </row>
    <row r="78" spans="1:14" ht="47.25">
      <c r="A78" s="16"/>
      <c r="B78" s="16"/>
      <c r="C78" s="39" t="s">
        <v>3</v>
      </c>
      <c r="D78" s="98" t="s">
        <v>153</v>
      </c>
      <c r="E78" s="111" t="s">
        <v>4</v>
      </c>
      <c r="F78" s="77">
        <v>2</v>
      </c>
      <c r="G78" s="45"/>
      <c r="N78" s="8"/>
    </row>
    <row r="79" spans="1:14" ht="47.25">
      <c r="A79" s="16"/>
      <c r="B79" s="16"/>
      <c r="C79" s="39" t="s">
        <v>3</v>
      </c>
      <c r="D79" s="98" t="s">
        <v>66</v>
      </c>
      <c r="E79" s="111" t="s">
        <v>4</v>
      </c>
      <c r="F79" s="81">
        <v>2</v>
      </c>
      <c r="G79" s="60"/>
      <c r="N79" s="8"/>
    </row>
    <row r="80" spans="1:14">
      <c r="A80" s="16"/>
      <c r="B80" s="16"/>
      <c r="C80" s="59" t="s">
        <v>171</v>
      </c>
      <c r="D80" s="52" t="s">
        <v>154</v>
      </c>
      <c r="E80" s="109" t="s">
        <v>11</v>
      </c>
      <c r="F80" s="80">
        <v>1</v>
      </c>
      <c r="G80" s="60"/>
      <c r="N80" s="8"/>
    </row>
    <row r="81" spans="1:14">
      <c r="A81" s="16"/>
      <c r="B81" s="16"/>
      <c r="C81" s="59" t="s">
        <v>98</v>
      </c>
      <c r="D81" s="14" t="s">
        <v>155</v>
      </c>
      <c r="E81" s="109" t="s">
        <v>11</v>
      </c>
      <c r="F81" s="80">
        <v>1</v>
      </c>
      <c r="G81" s="60"/>
      <c r="N81" s="8"/>
    </row>
    <row r="82" spans="1:14" ht="31.5">
      <c r="A82" s="16"/>
      <c r="B82" s="16"/>
      <c r="C82" s="56">
        <v>36</v>
      </c>
      <c r="D82" s="44" t="s">
        <v>74</v>
      </c>
      <c r="E82" s="61" t="s">
        <v>8</v>
      </c>
      <c r="F82" s="57">
        <f>(3.14*(0.159+0.06*2)^2/4-(3.14*0.159^2/4))*4.5</f>
        <v>0.18566820000000009</v>
      </c>
      <c r="G82" s="87"/>
      <c r="J82" s="37"/>
      <c r="N82" s="8"/>
    </row>
    <row r="83" spans="1:14" ht="31.5">
      <c r="A83" s="16"/>
      <c r="B83" s="16"/>
      <c r="C83" s="59" t="s">
        <v>3</v>
      </c>
      <c r="D83" s="43" t="s">
        <v>156</v>
      </c>
      <c r="E83" s="61" t="s">
        <v>11</v>
      </c>
      <c r="F83" s="80">
        <v>9</v>
      </c>
      <c r="G83" s="58"/>
      <c r="J83" s="37"/>
      <c r="K83" s="4">
        <f>((0.076/2+0.08*2+0.063/2)+(0.076/2*3.14)+(0.063/2*3.14))</f>
        <v>0.44773000000000002</v>
      </c>
      <c r="N83" s="8"/>
    </row>
    <row r="84" spans="1:14" ht="47.25">
      <c r="A84" s="16"/>
      <c r="B84" s="16"/>
      <c r="C84" s="50" t="s">
        <v>99</v>
      </c>
      <c r="D84" s="29" t="s">
        <v>75</v>
      </c>
      <c r="E84" s="71" t="s">
        <v>8</v>
      </c>
      <c r="F84" s="12">
        <f>((3.14*(0.159+0.06*2)^2/4-(3.14*0.159^2/4))/2+(3.14*(0.11+0.06*2)^2/4-(3.14*0.11^2/4))/2+(0.159/2+0.08+0.11/2)*2*0.06)*100</f>
        <v>6.2383800000000003</v>
      </c>
      <c r="G84" s="68" t="s">
        <v>79</v>
      </c>
      <c r="N84" s="8"/>
    </row>
    <row r="85" spans="1:14" ht="31.5">
      <c r="A85" s="16"/>
      <c r="B85" s="16"/>
      <c r="C85" s="39" t="s">
        <v>3</v>
      </c>
      <c r="D85" s="14" t="s">
        <v>76</v>
      </c>
      <c r="E85" s="74" t="s">
        <v>8</v>
      </c>
      <c r="F85" s="11">
        <f>F84</f>
        <v>6.2383800000000003</v>
      </c>
      <c r="G85" s="10"/>
      <c r="N85" s="8"/>
    </row>
    <row r="86" spans="1:14" ht="31.5">
      <c r="A86" s="16"/>
      <c r="B86" s="16"/>
      <c r="C86" s="50" t="s">
        <v>100</v>
      </c>
      <c r="D86" s="29" t="s">
        <v>77</v>
      </c>
      <c r="E86" s="71" t="s">
        <v>8</v>
      </c>
      <c r="F86" s="3">
        <v>0.28999999999999998</v>
      </c>
      <c r="G86" s="10"/>
      <c r="H86" s="4">
        <f>4+2*1.6+2*3</f>
        <v>13.2</v>
      </c>
      <c r="N86" s="8"/>
    </row>
    <row r="87" spans="1:14">
      <c r="A87" s="16"/>
      <c r="B87" s="16"/>
      <c r="C87" s="50" t="s">
        <v>3</v>
      </c>
      <c r="D87" s="14" t="s">
        <v>78</v>
      </c>
      <c r="E87" s="74" t="s">
        <v>8</v>
      </c>
      <c r="F87" s="12">
        <f>F86</f>
        <v>0.28999999999999998</v>
      </c>
      <c r="G87" s="10"/>
      <c r="H87" s="4">
        <f>0.32/H86</f>
        <v>2.4242424242424246E-2</v>
      </c>
      <c r="N87" s="8"/>
    </row>
    <row r="88" spans="1:14" ht="31.5">
      <c r="A88" s="16"/>
      <c r="B88" s="16"/>
      <c r="C88" s="39" t="s">
        <v>101</v>
      </c>
      <c r="D88" s="44" t="s">
        <v>46</v>
      </c>
      <c r="E88" s="72" t="s">
        <v>9</v>
      </c>
      <c r="F88" s="11">
        <f>((0.2/2+0.18/2)*3.14+(0.08+0.159/2+0.11/2)*2)*100</f>
        <v>102.56</v>
      </c>
      <c r="G88" s="10"/>
      <c r="N88" s="8"/>
    </row>
    <row r="89" spans="1:14" ht="31.5">
      <c r="A89" s="16"/>
      <c r="B89" s="16"/>
      <c r="C89" s="50" t="s">
        <v>104</v>
      </c>
      <c r="D89" s="44" t="s">
        <v>173</v>
      </c>
      <c r="E89" s="62" t="s">
        <v>26</v>
      </c>
      <c r="F89" s="12">
        <v>100</v>
      </c>
      <c r="G89" s="10"/>
      <c r="N89" s="8"/>
    </row>
    <row r="90" spans="1:14" s="82" customFormat="1" ht="31.5">
      <c r="C90" s="79" t="s">
        <v>105</v>
      </c>
      <c r="D90" s="54" t="s">
        <v>157</v>
      </c>
      <c r="E90" s="62" t="s">
        <v>11</v>
      </c>
      <c r="F90" s="88">
        <v>33</v>
      </c>
      <c r="G90" s="58"/>
      <c r="N90" s="83"/>
    </row>
    <row r="91" spans="1:14" s="82" customFormat="1" ht="47.25">
      <c r="C91" s="59" t="s">
        <v>106</v>
      </c>
      <c r="D91" s="13" t="s">
        <v>80</v>
      </c>
      <c r="E91" s="17" t="s">
        <v>9</v>
      </c>
      <c r="F91" s="57">
        <f>(0.25*2+1.6)*F64</f>
        <v>210</v>
      </c>
      <c r="G91" s="60"/>
      <c r="N91" s="83"/>
    </row>
    <row r="92" spans="1:14" s="82" customFormat="1" ht="31.5">
      <c r="C92" s="59" t="s">
        <v>3</v>
      </c>
      <c r="D92" s="73" t="s">
        <v>81</v>
      </c>
      <c r="E92" s="86" t="s">
        <v>27</v>
      </c>
      <c r="F92" s="57">
        <f>F91*0.6</f>
        <v>126</v>
      </c>
      <c r="G92" s="10" t="s">
        <v>84</v>
      </c>
      <c r="N92" s="83"/>
    </row>
    <row r="93" spans="1:14" s="82" customFormat="1" ht="31.5">
      <c r="C93" s="59" t="s">
        <v>107</v>
      </c>
      <c r="D93" s="13" t="s">
        <v>82</v>
      </c>
      <c r="E93" s="17" t="s">
        <v>9</v>
      </c>
      <c r="F93" s="57">
        <f>F91</f>
        <v>210</v>
      </c>
      <c r="G93" s="60"/>
      <c r="N93" s="83"/>
    </row>
    <row r="94" spans="1:14" s="82" customFormat="1" ht="31.5">
      <c r="C94" s="85" t="s">
        <v>3</v>
      </c>
      <c r="D94" s="73" t="s">
        <v>83</v>
      </c>
      <c r="E94" s="86" t="s">
        <v>27</v>
      </c>
      <c r="F94" s="57">
        <f>F93</f>
        <v>210</v>
      </c>
      <c r="G94" s="87" t="s">
        <v>85</v>
      </c>
      <c r="N94" s="83"/>
    </row>
    <row r="95" spans="1:14">
      <c r="A95" s="16"/>
      <c r="B95" s="16"/>
      <c r="C95" s="128" t="s">
        <v>54</v>
      </c>
      <c r="D95" s="128"/>
      <c r="E95" s="128"/>
      <c r="F95" s="128"/>
      <c r="G95" s="128"/>
      <c r="J95" s="37"/>
      <c r="N95" s="8"/>
    </row>
    <row r="96" spans="1:14">
      <c r="A96" s="16"/>
      <c r="B96" s="16"/>
      <c r="C96" s="62">
        <v>44</v>
      </c>
      <c r="D96" s="112" t="s">
        <v>158</v>
      </c>
      <c r="E96" s="115" t="s">
        <v>26</v>
      </c>
      <c r="F96" s="63">
        <v>4</v>
      </c>
      <c r="G96" s="119" t="s">
        <v>165</v>
      </c>
      <c r="J96" s="37"/>
      <c r="N96" s="8"/>
    </row>
    <row r="97" spans="1:14" ht="47.25">
      <c r="A97" s="16"/>
      <c r="B97" s="16"/>
      <c r="C97" s="62">
        <v>45</v>
      </c>
      <c r="D97" s="113" t="s">
        <v>159</v>
      </c>
      <c r="E97" s="117" t="s">
        <v>9</v>
      </c>
      <c r="F97" s="63">
        <f>8*2.05</f>
        <v>16.399999999999999</v>
      </c>
      <c r="G97" s="120" t="s">
        <v>167</v>
      </c>
      <c r="J97" s="37"/>
      <c r="N97" s="8"/>
    </row>
    <row r="98" spans="1:14" ht="31.5">
      <c r="A98" s="16"/>
      <c r="B98" s="16"/>
      <c r="C98" s="39" t="s">
        <v>3</v>
      </c>
      <c r="D98" s="114" t="s">
        <v>160</v>
      </c>
      <c r="E98" s="118" t="s">
        <v>8</v>
      </c>
      <c r="F98" s="88">
        <f>F97*0.15</f>
        <v>2.4599999999999995</v>
      </c>
      <c r="G98" s="121" t="s">
        <v>166</v>
      </c>
      <c r="J98" s="37"/>
      <c r="N98" s="8"/>
    </row>
    <row r="99" spans="1:14" ht="31.5">
      <c r="A99" s="16"/>
      <c r="B99" s="16"/>
      <c r="C99" s="39" t="s">
        <v>3</v>
      </c>
      <c r="D99" s="114" t="s">
        <v>161</v>
      </c>
      <c r="E99" s="118" t="s">
        <v>8</v>
      </c>
      <c r="F99" s="63">
        <f>F97*0.15</f>
        <v>2.4599999999999995</v>
      </c>
      <c r="G99" s="121" t="s">
        <v>166</v>
      </c>
      <c r="J99" s="37"/>
      <c r="N99" s="8"/>
    </row>
    <row r="100" spans="1:14" ht="47.25">
      <c r="A100" s="16"/>
      <c r="B100" s="16"/>
      <c r="C100" s="62">
        <v>46</v>
      </c>
      <c r="D100" s="113" t="s">
        <v>162</v>
      </c>
      <c r="E100" s="117" t="s">
        <v>9</v>
      </c>
      <c r="F100" s="63">
        <f>1.2*2.05</f>
        <v>2.4599999999999995</v>
      </c>
      <c r="G100" s="120" t="s">
        <v>168</v>
      </c>
      <c r="J100" s="37"/>
      <c r="N100" s="8"/>
    </row>
    <row r="101" spans="1:14" ht="31.5">
      <c r="A101" s="16"/>
      <c r="B101" s="16"/>
      <c r="C101" s="39" t="s">
        <v>3</v>
      </c>
      <c r="D101" s="114" t="s">
        <v>163</v>
      </c>
      <c r="E101" s="118" t="s">
        <v>8</v>
      </c>
      <c r="F101" s="65">
        <f>F100*0.15</f>
        <v>0.36899999999999994</v>
      </c>
      <c r="G101" s="121" t="s">
        <v>166</v>
      </c>
      <c r="J101" s="37"/>
      <c r="N101" s="8"/>
    </row>
    <row r="102" spans="1:14" ht="31.5">
      <c r="A102" s="16"/>
      <c r="B102" s="16"/>
      <c r="C102" s="39" t="s">
        <v>3</v>
      </c>
      <c r="D102" s="114" t="s">
        <v>164</v>
      </c>
      <c r="E102" s="118" t="s">
        <v>8</v>
      </c>
      <c r="F102" s="63">
        <f>F100*0.15</f>
        <v>0.36899999999999994</v>
      </c>
      <c r="G102" s="121" t="s">
        <v>166</v>
      </c>
      <c r="J102" s="37"/>
      <c r="N102" s="8"/>
    </row>
    <row r="103" spans="1:14" ht="31.5">
      <c r="A103" s="16"/>
      <c r="B103" s="16"/>
      <c r="C103" s="62">
        <v>47</v>
      </c>
      <c r="D103" s="101" t="s">
        <v>56</v>
      </c>
      <c r="E103" s="116" t="s">
        <v>9</v>
      </c>
      <c r="F103" s="88">
        <f>65*2.5</f>
        <v>162.5</v>
      </c>
      <c r="G103" s="64"/>
      <c r="J103" s="37"/>
      <c r="N103" s="8"/>
    </row>
    <row r="104" spans="1:14" s="9" customFormat="1" ht="39.950000000000003" customHeight="1">
      <c r="A104" s="30"/>
      <c r="B104" s="30"/>
      <c r="C104" s="126" t="s">
        <v>21</v>
      </c>
      <c r="D104" s="126"/>
      <c r="E104" s="35"/>
      <c r="F104" s="125" t="s">
        <v>24</v>
      </c>
      <c r="G104" s="125"/>
    </row>
    <row r="105" spans="1:14" s="9" customFormat="1" ht="22.5" customHeight="1">
      <c r="A105" s="30"/>
      <c r="B105" s="30"/>
      <c r="C105" s="125" t="s">
        <v>47</v>
      </c>
      <c r="D105" s="125"/>
      <c r="E105" s="38"/>
      <c r="F105" s="125" t="s">
        <v>86</v>
      </c>
      <c r="G105" s="125" t="s">
        <v>48</v>
      </c>
    </row>
    <row r="106" spans="1:14" s="9" customFormat="1" ht="21.75" customHeight="1">
      <c r="A106" s="30"/>
      <c r="B106" s="30"/>
      <c r="C106" s="125" t="s">
        <v>31</v>
      </c>
      <c r="D106" s="125"/>
      <c r="E106" s="35"/>
      <c r="F106" s="125" t="s">
        <v>25</v>
      </c>
      <c r="G106" s="125"/>
    </row>
    <row r="107" spans="1:14" s="9" customFormat="1" ht="22.5" customHeight="1">
      <c r="A107" s="30"/>
      <c r="B107" s="30"/>
      <c r="C107" s="124" t="s">
        <v>175</v>
      </c>
      <c r="D107" s="124"/>
      <c r="E107" s="35"/>
      <c r="F107" s="125" t="s">
        <v>176</v>
      </c>
      <c r="G107" s="125"/>
    </row>
    <row r="108" spans="1:14" ht="15" customHeight="1">
      <c r="A108" s="16"/>
      <c r="B108" s="16"/>
      <c r="C108" s="31"/>
      <c r="D108" s="32"/>
      <c r="E108" s="33"/>
      <c r="F108" s="36"/>
      <c r="G108" s="34"/>
      <c r="I108" s="8"/>
    </row>
  </sheetData>
  <mergeCells count="27">
    <mergeCell ref="E4:G4"/>
    <mergeCell ref="E5:G5"/>
    <mergeCell ref="E6:G6"/>
    <mergeCell ref="E8:G8"/>
    <mergeCell ref="C13:G13"/>
    <mergeCell ref="C4:D4"/>
    <mergeCell ref="C5:D5"/>
    <mergeCell ref="E7:G7"/>
    <mergeCell ref="K7:O7"/>
    <mergeCell ref="C7:D7"/>
    <mergeCell ref="K11:O11"/>
    <mergeCell ref="C11:G11"/>
    <mergeCell ref="C14:D14"/>
    <mergeCell ref="C17:G17"/>
    <mergeCell ref="C15:G15"/>
    <mergeCell ref="C107:D107"/>
    <mergeCell ref="F107:G107"/>
    <mergeCell ref="F104:G104"/>
    <mergeCell ref="C106:D106"/>
    <mergeCell ref="F106:G106"/>
    <mergeCell ref="C104:D104"/>
    <mergeCell ref="C45:G45"/>
    <mergeCell ref="C28:G28"/>
    <mergeCell ref="C21:G21"/>
    <mergeCell ref="C105:D105"/>
    <mergeCell ref="F105:G105"/>
    <mergeCell ref="C95:G95"/>
  </mergeCells>
  <phoneticPr fontId="3" type="noConversion"/>
  <printOptions horizontalCentered="1"/>
  <pageMargins left="0.39370078740157483" right="0.19685039370078741" top="0.39370078740157483" bottom="0.19685039370078741" header="0.51181102362204722" footer="0.31496062992125984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slenergo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injen</dc:creator>
  <cp:lastModifiedBy>p.banku</cp:lastModifiedBy>
  <cp:lastPrinted>2023-04-10T09:07:54Z</cp:lastPrinted>
  <dcterms:created xsi:type="dcterms:W3CDTF">2010-03-23T08:55:47Z</dcterms:created>
  <dcterms:modified xsi:type="dcterms:W3CDTF">2023-04-10T10:34:19Z</dcterms:modified>
</cp:coreProperties>
</file>